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 activeTab="1"/>
  </bookViews>
  <sheets>
    <sheet name="Hárok1" sheetId="1" r:id="rId1"/>
    <sheet name="upravený rozpočet podľa normatí" sheetId="2" r:id="rId2"/>
    <sheet name="Hárok3" sheetId="3" r:id="rId3"/>
  </sheets>
  <definedNames>
    <definedName name="_xlnm.Print_Area" localSheetId="0">Hárok1!$A$42:$S$63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2"/>
  <c r="I16" s="1"/>
  <c r="F16"/>
  <c r="B13"/>
  <c r="Q20"/>
  <c r="N7" l="1"/>
  <c r="J7"/>
  <c r="O21"/>
  <c r="N13"/>
  <c r="N6"/>
  <c r="L20"/>
  <c r="G14" l="1"/>
  <c r="G15"/>
  <c r="G16"/>
  <c r="J6"/>
  <c r="B20"/>
  <c r="O7"/>
  <c r="I20" l="1"/>
  <c r="P14"/>
  <c r="P15"/>
  <c r="P16"/>
  <c r="Q16" s="1"/>
  <c r="P17"/>
  <c r="P19"/>
  <c r="U16"/>
  <c r="N14" l="1"/>
  <c r="Q24" s="1"/>
  <c r="L14"/>
  <c r="J14"/>
  <c r="M20"/>
  <c r="R20" l="1"/>
  <c r="P20"/>
  <c r="R16"/>
  <c r="F7" l="1"/>
  <c r="F8"/>
  <c r="F9"/>
  <c r="F10"/>
  <c r="F11"/>
  <c r="G11" s="1"/>
  <c r="I11" s="1"/>
  <c r="M11" s="1"/>
  <c r="D12"/>
  <c r="F12" s="1"/>
  <c r="G12" s="1"/>
  <c r="I12" s="1"/>
  <c r="M12" s="1"/>
  <c r="F13"/>
  <c r="F6"/>
  <c r="G13" l="1"/>
  <c r="I13" s="1"/>
  <c r="M13" s="1"/>
  <c r="G9"/>
  <c r="I9" s="1"/>
  <c r="M9" s="1"/>
  <c r="G6"/>
  <c r="I6" s="1"/>
  <c r="M6" s="1"/>
  <c r="G10"/>
  <c r="I10" s="1"/>
  <c r="M10" s="1"/>
  <c r="G8"/>
  <c r="I8" s="1"/>
  <c r="M8" s="1"/>
  <c r="P8" s="1"/>
  <c r="G7"/>
  <c r="I7" s="1"/>
  <c r="M7" s="1"/>
  <c r="T7" s="1"/>
  <c r="P12"/>
  <c r="Q12" s="1"/>
  <c r="R12" s="1"/>
  <c r="P11"/>
  <c r="Q11" s="1"/>
  <c r="R11" s="1"/>
  <c r="H6"/>
  <c r="H10"/>
  <c r="H9"/>
  <c r="H7"/>
  <c r="H8"/>
  <c r="G51" i="1"/>
  <c r="H51" s="1"/>
  <c r="L51" s="1"/>
  <c r="O51" s="1"/>
  <c r="H62"/>
  <c r="L62" s="1"/>
  <c r="O62" s="1"/>
  <c r="O58"/>
  <c r="G58"/>
  <c r="N56"/>
  <c r="M56"/>
  <c r="G55"/>
  <c r="H55" s="1"/>
  <c r="L55" s="1"/>
  <c r="O55" s="1"/>
  <c r="H54"/>
  <c r="L54" s="1"/>
  <c r="O54" s="1"/>
  <c r="G54"/>
  <c r="H53"/>
  <c r="L53" s="1"/>
  <c r="O53" s="1"/>
  <c r="H52"/>
  <c r="L52" s="1"/>
  <c r="O52" s="1"/>
  <c r="G50"/>
  <c r="H50" s="1"/>
  <c r="L50" s="1"/>
  <c r="G49"/>
  <c r="H49" s="1"/>
  <c r="L49" s="1"/>
  <c r="H48"/>
  <c r="L48" s="1"/>
  <c r="G48"/>
  <c r="G47"/>
  <c r="H47" s="1"/>
  <c r="P9" i="2" l="1"/>
  <c r="Q9" s="1"/>
  <c r="R9" s="1"/>
  <c r="I21"/>
  <c r="P13"/>
  <c r="P7"/>
  <c r="P10"/>
  <c r="Q10" s="1"/>
  <c r="R10" s="1"/>
  <c r="H56" i="1"/>
  <c r="L47"/>
  <c r="Q48"/>
  <c r="O48"/>
  <c r="O50"/>
  <c r="Q13" i="2" l="1"/>
  <c r="R13" s="1"/>
  <c r="P6"/>
  <c r="Q6" s="1"/>
  <c r="T6"/>
  <c r="M21"/>
  <c r="Q7"/>
  <c r="P21"/>
  <c r="R8"/>
  <c r="O47" i="1"/>
  <c r="O56" s="1"/>
  <c r="L56"/>
  <c r="Q47"/>
  <c r="Q23" i="2" l="1"/>
  <c r="Q25" s="1"/>
  <c r="Q28" s="1"/>
  <c r="R6"/>
  <c r="R7"/>
  <c r="C58" i="1"/>
  <c r="H58" s="1"/>
  <c r="C56"/>
  <c r="B56"/>
  <c r="O33" l="1"/>
  <c r="G22" l="1"/>
  <c r="H37"/>
  <c r="L37" s="1"/>
  <c r="S47" l="1"/>
  <c r="H22"/>
  <c r="L22" s="1"/>
  <c r="O37"/>
  <c r="Q22" l="1"/>
  <c r="O22"/>
  <c r="G33"/>
  <c r="C33"/>
  <c r="M31"/>
  <c r="N31"/>
  <c r="G30"/>
  <c r="G23"/>
  <c r="G24"/>
  <c r="G25"/>
  <c r="G26"/>
  <c r="G27"/>
  <c r="G28"/>
  <c r="G29"/>
  <c r="C31"/>
  <c r="B31"/>
  <c r="H23" l="1"/>
  <c r="L23" s="1"/>
  <c r="S48"/>
  <c r="H33"/>
  <c r="H26"/>
  <c r="L26" s="1"/>
  <c r="O26" s="1"/>
  <c r="S51"/>
  <c r="H30"/>
  <c r="L30" s="1"/>
  <c r="O30" s="1"/>
  <c r="S55"/>
  <c r="H27"/>
  <c r="L27" s="1"/>
  <c r="O27" s="1"/>
  <c r="S52"/>
  <c r="S54"/>
  <c r="H29"/>
  <c r="L29" s="1"/>
  <c r="H25"/>
  <c r="L25" s="1"/>
  <c r="S50"/>
  <c r="H28"/>
  <c r="L28" s="1"/>
  <c r="O28" s="1"/>
  <c r="S53"/>
  <c r="H24"/>
  <c r="L24" s="1"/>
  <c r="S49"/>
  <c r="H31"/>
  <c r="O25"/>
  <c r="Q23"/>
  <c r="O23"/>
  <c r="O29" l="1"/>
  <c r="O31" s="1"/>
  <c r="L31"/>
  <c r="F6"/>
  <c r="J6" l="1"/>
  <c r="O6" l="1"/>
  <c r="F14"/>
  <c r="F7"/>
  <c r="J7" s="1"/>
  <c r="F8"/>
  <c r="J8" s="1"/>
  <c r="F9"/>
  <c r="F10"/>
  <c r="J10" s="1"/>
  <c r="F11"/>
  <c r="F12"/>
  <c r="J12" s="1"/>
  <c r="F13"/>
  <c r="J9"/>
  <c r="J11"/>
  <c r="J13"/>
  <c r="J14"/>
  <c r="J15" l="1"/>
  <c r="O7"/>
  <c r="M6"/>
  <c r="L15"/>
  <c r="M14"/>
  <c r="M7"/>
  <c r="M8"/>
  <c r="M10"/>
  <c r="M11"/>
  <c r="M12"/>
  <c r="M13"/>
  <c r="C15"/>
  <c r="B15"/>
  <c r="M15" l="1"/>
</calcChain>
</file>

<file path=xl/sharedStrings.xml><?xml version="1.0" encoding="utf-8"?>
<sst xmlns="http://schemas.openxmlformats.org/spreadsheetml/2006/main" count="135" uniqueCount="61">
  <si>
    <t>VZN</t>
  </si>
  <si>
    <t>Výkonový ukazovateľ</t>
  </si>
  <si>
    <t>školy a školské zariadenia v zriaďovateľskej pôsobnosti mesta Poltár</t>
  </si>
  <si>
    <t>súkromné školské zariadenia zriadené na území mesta Poltár</t>
  </si>
  <si>
    <t>Dieťa MŠ Kanadská</t>
  </si>
  <si>
    <t>Dieťa MŠ Sklárska</t>
  </si>
  <si>
    <t>Žiak ZUŠ individuálna forma</t>
  </si>
  <si>
    <t>Žiak ZUŠ skupinová forma</t>
  </si>
  <si>
    <t>Žiak ZŠ Slobody v ŠKD</t>
  </si>
  <si>
    <t>Žiak ZŠ Skolská v ŠKD</t>
  </si>
  <si>
    <t>Dieťa v CVČ</t>
  </si>
  <si>
    <t>Potenciálny stravník ŠJ Slobody</t>
  </si>
  <si>
    <t>Dieťa súkromného centra ŠPP</t>
  </si>
  <si>
    <t>Počet detí k 15.9.2019</t>
  </si>
  <si>
    <t>Rozpočet 2020</t>
  </si>
  <si>
    <t>nárast</t>
  </si>
  <si>
    <t>Počet detí k 15.9.2018</t>
  </si>
  <si>
    <t>vlastné príjmy</t>
  </si>
  <si>
    <t>pranie</t>
  </si>
  <si>
    <t>potraviny</t>
  </si>
  <si>
    <t>NORM 2020podľa 2019</t>
  </si>
  <si>
    <t>Rozpočet 2019 po úprave</t>
  </si>
  <si>
    <t>jedáleň pri MŠ</t>
  </si>
  <si>
    <t>Rozpočet MŠ po odčítaní jedálne</t>
  </si>
  <si>
    <t>Predškoláci</t>
  </si>
  <si>
    <t>ROK 2020</t>
  </si>
  <si>
    <t>Správa školských budov</t>
  </si>
  <si>
    <t>NORM 2020</t>
  </si>
  <si>
    <t>Rozpočet 2020 schválený</t>
  </si>
  <si>
    <t>Rozpočet 2020 by ma byť</t>
  </si>
  <si>
    <t>Rozdiel</t>
  </si>
  <si>
    <t>Jedáleň pri MŠ</t>
  </si>
  <si>
    <t>znížiť rozpočet</t>
  </si>
  <si>
    <t>Záujmové vzdelávanie</t>
  </si>
  <si>
    <t>Návrh stanovenia výšky finančných prostriedkov a dotácií poskytovaných na mzdy a prevádzku na jeden výkonový ukazovateľ na rok 2020</t>
  </si>
  <si>
    <t>Rozpočet 2020 upravený</t>
  </si>
  <si>
    <t>% normatívu</t>
  </si>
  <si>
    <t>UPRAVENÉ</t>
  </si>
  <si>
    <t>koeficient</t>
  </si>
  <si>
    <t>Normatív na 1 žiaka</t>
  </si>
  <si>
    <t>NORM 2020 na všetkých žiakov k 15.9.2019</t>
  </si>
  <si>
    <t>koef</t>
  </si>
  <si>
    <t>navýšiť</t>
  </si>
  <si>
    <t>presun do správy školských budov</t>
  </si>
  <si>
    <t>Školstvo</t>
  </si>
  <si>
    <t>Príjem z daní</t>
  </si>
  <si>
    <t>Škol VP + potrav.</t>
  </si>
  <si>
    <t>Školstvo bez VP</t>
  </si>
  <si>
    <t>Podiel na PD</t>
  </si>
  <si>
    <t>priznané %</t>
  </si>
  <si>
    <t>NORM na 1 dieťa</t>
  </si>
  <si>
    <t xml:space="preserve">                   </t>
  </si>
  <si>
    <t>x</t>
  </si>
  <si>
    <t>jednotkový normatív pre rok 2022</t>
  </si>
  <si>
    <t>Počet detí k 15.9.2021</t>
  </si>
  <si>
    <t>Žiak ZŠ Školská v ŠKD</t>
  </si>
  <si>
    <t>100% normatívu</t>
  </si>
  <si>
    <t>v návrhu rozpočtu 2022</t>
  </si>
  <si>
    <t>Rozpočet 2022 by ma byť</t>
  </si>
  <si>
    <t>NORM 2022 na všetky deti</t>
  </si>
  <si>
    <t>Rozpočet 2022 upravený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</si>
</sst>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3" xfId="0" applyBorder="1" applyAlignment="1">
      <alignment vertical="center" wrapText="1"/>
    </xf>
    <xf numFmtId="9" fontId="0" fillId="0" borderId="3" xfId="0" applyNumberForma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/>
    <xf numFmtId="0" fontId="1" fillId="2" borderId="3" xfId="0" applyFont="1" applyFill="1" applyBorder="1"/>
    <xf numFmtId="3" fontId="0" fillId="0" borderId="3" xfId="0" applyNumberFormat="1" applyBorder="1"/>
    <xf numFmtId="0" fontId="2" fillId="0" borderId="3" xfId="0" applyFont="1" applyBorder="1"/>
    <xf numFmtId="0" fontId="0" fillId="0" borderId="3" xfId="0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3" fontId="0" fillId="3" borderId="3" xfId="0" applyNumberFormat="1" applyFill="1" applyBorder="1"/>
    <xf numFmtId="0" fontId="0" fillId="0" borderId="3" xfId="0" applyFill="1" applyBorder="1"/>
    <xf numFmtId="0" fontId="0" fillId="0" borderId="0" xfId="0" applyFill="1"/>
    <xf numFmtId="3" fontId="3" fillId="0" borderId="3" xfId="0" applyNumberFormat="1" applyFont="1" applyBorder="1"/>
    <xf numFmtId="3" fontId="0" fillId="0" borderId="3" xfId="0" applyNumberFormat="1" applyFill="1" applyBorder="1"/>
    <xf numFmtId="0" fontId="1" fillId="0" borderId="0" xfId="0" applyFont="1" applyAlignment="1">
      <alignment horizontal="left" wrapText="1"/>
    </xf>
    <xf numFmtId="3" fontId="0" fillId="0" borderId="0" xfId="0" applyNumberFormat="1"/>
    <xf numFmtId="0" fontId="1" fillId="0" borderId="0" xfId="0" applyFont="1"/>
    <xf numFmtId="0" fontId="0" fillId="3" borderId="3" xfId="0" applyFill="1" applyBorder="1" applyAlignment="1">
      <alignment horizontal="center" vertical="center" wrapText="1"/>
    </xf>
    <xf numFmtId="4" fontId="0" fillId="0" borderId="3" xfId="0" applyNumberFormat="1" applyBorder="1"/>
    <xf numFmtId="4" fontId="0" fillId="0" borderId="0" xfId="0" applyNumberFormat="1"/>
    <xf numFmtId="4" fontId="0" fillId="0" borderId="1" xfId="0" applyNumberFormat="1" applyBorder="1"/>
    <xf numFmtId="0" fontId="1" fillId="4" borderId="3" xfId="0" applyFont="1" applyFill="1" applyBorder="1" applyAlignment="1">
      <alignment horizontal="center" vertical="center" wrapText="1"/>
    </xf>
    <xf numFmtId="3" fontId="1" fillId="4" borderId="3" xfId="0" applyNumberFormat="1" applyFont="1" applyFill="1" applyBorder="1"/>
    <xf numFmtId="3" fontId="1" fillId="4" borderId="0" xfId="0" applyNumberFormat="1" applyFont="1" applyFill="1"/>
    <xf numFmtId="0" fontId="1" fillId="4" borderId="0" xfId="0" applyFont="1" applyFill="1"/>
    <xf numFmtId="4" fontId="1" fillId="4" borderId="3" xfId="0" applyNumberFormat="1" applyFont="1" applyFill="1" applyBorder="1"/>
    <xf numFmtId="3" fontId="0" fillId="3" borderId="0" xfId="0" applyNumberFormat="1" applyFill="1"/>
    <xf numFmtId="0" fontId="0" fillId="3" borderId="0" xfId="0" applyFill="1"/>
    <xf numFmtId="4" fontId="0" fillId="3" borderId="3" xfId="0" applyNumberFormat="1" applyFill="1" applyBorder="1"/>
    <xf numFmtId="3" fontId="4" fillId="3" borderId="3" xfId="0" applyNumberFormat="1" applyFont="1" applyFill="1" applyBorder="1"/>
    <xf numFmtId="3" fontId="4" fillId="0" borderId="3" xfId="0" applyNumberFormat="1" applyFont="1" applyBorder="1"/>
    <xf numFmtId="0" fontId="0" fillId="0" borderId="0" xfId="0" applyBorder="1"/>
    <xf numFmtId="4" fontId="0" fillId="0" borderId="0" xfId="0" applyNumberFormat="1" applyBorder="1"/>
    <xf numFmtId="3" fontId="0" fillId="0" borderId="0" xfId="0" applyNumberFormat="1" applyBorder="1"/>
    <xf numFmtId="4" fontId="0" fillId="0" borderId="4" xfId="0" applyNumberFormat="1" applyBorder="1"/>
    <xf numFmtId="4" fontId="0" fillId="3" borderId="4" xfId="0" applyNumberFormat="1" applyFill="1" applyBorder="1"/>
    <xf numFmtId="4" fontId="1" fillId="4" borderId="4" xfId="0" applyNumberFormat="1" applyFont="1" applyFill="1" applyBorder="1"/>
    <xf numFmtId="4" fontId="0" fillId="0" borderId="5" xfId="0" applyNumberFormat="1" applyBorder="1"/>
    <xf numFmtId="4" fontId="0" fillId="3" borderId="5" xfId="0" applyNumberFormat="1" applyFill="1" applyBorder="1"/>
    <xf numFmtId="4" fontId="1" fillId="4" borderId="5" xfId="0" applyNumberFormat="1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3" fontId="3" fillId="4" borderId="3" xfId="0" applyNumberFormat="1" applyFont="1" applyFill="1" applyBorder="1"/>
    <xf numFmtId="0" fontId="3" fillId="2" borderId="3" xfId="0" applyFont="1" applyFill="1" applyBorder="1"/>
    <xf numFmtId="4" fontId="3" fillId="4" borderId="3" xfId="0" applyNumberFormat="1" applyFont="1" applyFill="1" applyBorder="1"/>
    <xf numFmtId="0" fontId="4" fillId="0" borderId="3" xfId="0" applyFont="1" applyBorder="1"/>
    <xf numFmtId="0" fontId="0" fillId="0" borderId="3" xfId="0" applyBorder="1" applyAlignment="1">
      <alignment wrapText="1"/>
    </xf>
    <xf numFmtId="4" fontId="1" fillId="3" borderId="3" xfId="0" applyNumberFormat="1" applyFont="1" applyFill="1" applyBorder="1"/>
    <xf numFmtId="4" fontId="4" fillId="0" borderId="3" xfId="0" applyNumberFormat="1" applyFont="1" applyBorder="1"/>
    <xf numFmtId="0" fontId="0" fillId="4" borderId="3" xfId="0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/>
    <xf numFmtId="9" fontId="1" fillId="0" borderId="3" xfId="0" applyNumberFormat="1" applyFont="1" applyBorder="1"/>
    <xf numFmtId="0" fontId="1" fillId="0" borderId="3" xfId="0" applyFont="1" applyBorder="1" applyAlignment="1">
      <alignment horizontal="center" wrapText="1"/>
    </xf>
    <xf numFmtId="0" fontId="1" fillId="3" borderId="3" xfId="0" applyFont="1" applyFill="1" applyBorder="1"/>
    <xf numFmtId="0" fontId="5" fillId="0" borderId="0" xfId="0" applyFont="1"/>
    <xf numFmtId="4" fontId="2" fillId="0" borderId="3" xfId="0" applyNumberFormat="1" applyFont="1" applyBorder="1"/>
    <xf numFmtId="0" fontId="0" fillId="5" borderId="3" xfId="0" applyFill="1" applyBorder="1"/>
    <xf numFmtId="4" fontId="0" fillId="6" borderId="3" xfId="0" applyNumberFormat="1" applyFill="1" applyBorder="1"/>
    <xf numFmtId="0" fontId="0" fillId="3" borderId="3" xfId="0" applyFill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4" fontId="0" fillId="0" borderId="3" xfId="0" applyNumberFormat="1" applyFont="1" applyBorder="1"/>
    <xf numFmtId="9" fontId="0" fillId="0" borderId="0" xfId="0" applyNumberFormat="1"/>
    <xf numFmtId="4" fontId="0" fillId="7" borderId="3" xfId="0" applyNumberFormat="1" applyFill="1" applyBorder="1"/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2"/>
  <sheetViews>
    <sheetView topLeftCell="A18" workbookViewId="0">
      <selection activeCell="Q23" sqref="Q23"/>
    </sheetView>
  </sheetViews>
  <sheetFormatPr defaultRowHeight="15" outlineLevelRow="1"/>
  <cols>
    <col min="1" max="1" width="29.140625" customWidth="1"/>
    <col min="2" max="2" width="10" customWidth="1"/>
    <col min="3" max="3" width="9.85546875" customWidth="1"/>
    <col min="4" max="4" width="14.42578125" customWidth="1"/>
    <col min="5" max="5" width="12.7109375" customWidth="1"/>
    <col min="6" max="6" width="10.140625" customWidth="1"/>
    <col min="7" max="7" width="10.42578125" customWidth="1"/>
    <col min="8" max="8" width="11.28515625" customWidth="1"/>
    <col min="9" max="9" width="10" customWidth="1"/>
    <col min="10" max="10" width="7.5703125" customWidth="1"/>
    <col min="11" max="11" width="9.42578125" customWidth="1"/>
    <col min="12" max="12" width="11.28515625" customWidth="1"/>
    <col min="13" max="13" width="8.140625" customWidth="1"/>
    <col min="14" max="15" width="9.85546875" customWidth="1"/>
    <col min="18" max="18" width="4.7109375" customWidth="1"/>
    <col min="19" max="19" width="8.5703125" customWidth="1"/>
  </cols>
  <sheetData>
    <row r="1" spans="1:15">
      <c r="A1" s="66" t="s">
        <v>34</v>
      </c>
      <c r="B1" s="66"/>
      <c r="C1" s="66"/>
      <c r="D1" s="66"/>
      <c r="E1" s="66"/>
      <c r="F1" s="66"/>
      <c r="G1" s="10"/>
      <c r="H1" s="10"/>
      <c r="I1" s="10"/>
      <c r="J1" s="10"/>
      <c r="K1" s="16"/>
    </row>
    <row r="2" spans="1:15">
      <c r="A2" s="66"/>
      <c r="B2" s="66"/>
      <c r="C2" s="66"/>
      <c r="D2" s="66"/>
      <c r="E2" s="66"/>
      <c r="F2" s="66"/>
      <c r="G2" s="10"/>
      <c r="H2" s="10"/>
      <c r="I2" s="10"/>
      <c r="J2" s="10"/>
      <c r="K2" s="16"/>
    </row>
    <row r="3" spans="1:15" hidden="1" outlineLevel="1">
      <c r="E3">
        <v>93.78</v>
      </c>
    </row>
    <row r="4" spans="1:15" hidden="1" outlineLevel="1">
      <c r="D4" s="67" t="s">
        <v>0</v>
      </c>
      <c r="E4" s="68"/>
    </row>
    <row r="5" spans="1:15" ht="90" hidden="1" outlineLevel="1">
      <c r="A5" s="1" t="s">
        <v>1</v>
      </c>
      <c r="B5" s="2" t="s">
        <v>16</v>
      </c>
      <c r="C5" s="2" t="s">
        <v>13</v>
      </c>
      <c r="D5" s="3" t="s">
        <v>2</v>
      </c>
      <c r="E5" s="3" t="s">
        <v>3</v>
      </c>
      <c r="F5" s="4" t="s">
        <v>20</v>
      </c>
      <c r="G5" s="9" t="s">
        <v>17</v>
      </c>
      <c r="H5" s="9" t="s">
        <v>18</v>
      </c>
      <c r="I5" s="9" t="s">
        <v>19</v>
      </c>
      <c r="J5" s="4" t="s">
        <v>14</v>
      </c>
      <c r="K5" s="4" t="s">
        <v>24</v>
      </c>
      <c r="L5" s="4" t="s">
        <v>21</v>
      </c>
      <c r="M5" s="4" t="s">
        <v>15</v>
      </c>
      <c r="N5" s="4" t="s">
        <v>22</v>
      </c>
      <c r="O5" s="4" t="s">
        <v>23</v>
      </c>
    </row>
    <row r="6" spans="1:15" hidden="1" outlineLevel="1">
      <c r="A6" s="5" t="s">
        <v>4</v>
      </c>
      <c r="B6" s="5">
        <v>49</v>
      </c>
      <c r="C6" s="5">
        <v>53</v>
      </c>
      <c r="D6" s="6">
        <v>2561</v>
      </c>
      <c r="E6" s="6"/>
      <c r="F6" s="7">
        <f>C6*D6</f>
        <v>135733</v>
      </c>
      <c r="G6" s="7">
        <v>5100</v>
      </c>
      <c r="H6" s="7"/>
      <c r="I6" s="15"/>
      <c r="J6" s="7">
        <f>F6+G6+H6+I6</f>
        <v>140833</v>
      </c>
      <c r="K6" s="7">
        <v>1800</v>
      </c>
      <c r="L6" s="7">
        <v>112313</v>
      </c>
      <c r="M6" s="7">
        <f>O6-L6</f>
        <v>10929</v>
      </c>
      <c r="N6" s="7">
        <v>-17591</v>
      </c>
      <c r="O6" s="14">
        <f>J6+N6</f>
        <v>123242</v>
      </c>
    </row>
    <row r="7" spans="1:15" hidden="1" outlineLevel="1">
      <c r="A7" s="5" t="s">
        <v>5</v>
      </c>
      <c r="B7" s="5">
        <v>116</v>
      </c>
      <c r="C7" s="5">
        <v>130</v>
      </c>
      <c r="D7" s="6">
        <v>2561</v>
      </c>
      <c r="E7" s="6"/>
      <c r="F7" s="7">
        <f t="shared" ref="F7:F13" si="0">C7*D7</f>
        <v>332930</v>
      </c>
      <c r="G7" s="7">
        <v>9500</v>
      </c>
      <c r="H7" s="7">
        <v>1500</v>
      </c>
      <c r="I7" s="15"/>
      <c r="J7" s="7">
        <f t="shared" ref="J7:J14" si="1">F7+G7+H7+I7</f>
        <v>343930</v>
      </c>
      <c r="K7" s="7">
        <v>7300</v>
      </c>
      <c r="L7" s="7">
        <v>269238.7</v>
      </c>
      <c r="M7" s="7">
        <f>O7-L7</f>
        <v>33047.299999999988</v>
      </c>
      <c r="N7" s="7">
        <v>-41644</v>
      </c>
      <c r="O7" s="14">
        <f>J7+N7</f>
        <v>302286</v>
      </c>
    </row>
    <row r="8" spans="1:15" hidden="1" outlineLevel="1">
      <c r="A8" s="5" t="s">
        <v>6</v>
      </c>
      <c r="B8" s="5">
        <v>177</v>
      </c>
      <c r="C8" s="5">
        <v>173</v>
      </c>
      <c r="D8" s="6">
        <v>1255</v>
      </c>
      <c r="E8" s="6"/>
      <c r="F8" s="7">
        <f t="shared" si="0"/>
        <v>217115</v>
      </c>
      <c r="G8" s="7">
        <v>25000</v>
      </c>
      <c r="H8" s="7"/>
      <c r="I8" s="15"/>
      <c r="J8" s="7">
        <f t="shared" si="1"/>
        <v>242115</v>
      </c>
      <c r="K8" s="7"/>
      <c r="L8" s="7">
        <v>362919</v>
      </c>
      <c r="M8" s="7">
        <f>J8+J9-L8</f>
        <v>-3624</v>
      </c>
    </row>
    <row r="9" spans="1:15" hidden="1" outlineLevel="1">
      <c r="A9" s="5" t="s">
        <v>7</v>
      </c>
      <c r="B9" s="5">
        <v>276</v>
      </c>
      <c r="C9" s="5">
        <v>270</v>
      </c>
      <c r="D9" s="6">
        <v>434</v>
      </c>
      <c r="E9" s="6"/>
      <c r="F9" s="7">
        <f t="shared" si="0"/>
        <v>117180</v>
      </c>
      <c r="G9" s="7"/>
      <c r="H9" s="7"/>
      <c r="I9" s="15"/>
      <c r="J9" s="7">
        <f t="shared" si="1"/>
        <v>117180</v>
      </c>
      <c r="K9" s="7"/>
      <c r="L9" s="7"/>
      <c r="M9" s="7"/>
    </row>
    <row r="10" spans="1:15" hidden="1" outlineLevel="1">
      <c r="A10" s="5" t="s">
        <v>8</v>
      </c>
      <c r="B10" s="5">
        <v>89</v>
      </c>
      <c r="C10" s="5">
        <v>80</v>
      </c>
      <c r="D10" s="6">
        <v>562</v>
      </c>
      <c r="E10" s="6"/>
      <c r="F10" s="7">
        <f t="shared" si="0"/>
        <v>44960</v>
      </c>
      <c r="G10" s="7">
        <v>3800</v>
      </c>
      <c r="H10" s="7"/>
      <c r="I10" s="15"/>
      <c r="J10" s="7">
        <f t="shared" si="1"/>
        <v>48760</v>
      </c>
      <c r="K10" s="7"/>
      <c r="L10" s="7">
        <v>53818</v>
      </c>
      <c r="M10" s="7">
        <f t="shared" ref="M10:M14" si="2">J10-L10</f>
        <v>-5058</v>
      </c>
    </row>
    <row r="11" spans="1:15" hidden="1" outlineLevel="1">
      <c r="A11" s="5" t="s">
        <v>9</v>
      </c>
      <c r="B11" s="8">
        <v>90</v>
      </c>
      <c r="C11" s="5">
        <v>90</v>
      </c>
      <c r="D11" s="6">
        <v>553</v>
      </c>
      <c r="E11" s="6"/>
      <c r="F11" s="7">
        <f t="shared" si="0"/>
        <v>49770</v>
      </c>
      <c r="G11" s="7">
        <v>4000</v>
      </c>
      <c r="H11" s="7"/>
      <c r="I11" s="15"/>
      <c r="J11" s="7">
        <f t="shared" si="1"/>
        <v>53770</v>
      </c>
      <c r="K11" s="7"/>
      <c r="L11" s="7">
        <v>45980</v>
      </c>
      <c r="M11" s="7">
        <f t="shared" si="2"/>
        <v>7790</v>
      </c>
    </row>
    <row r="12" spans="1:15" hidden="1" outlineLevel="1">
      <c r="A12" s="5" t="s">
        <v>10</v>
      </c>
      <c r="B12" s="5">
        <v>180</v>
      </c>
      <c r="C12" s="5">
        <v>207</v>
      </c>
      <c r="D12" s="6">
        <v>189</v>
      </c>
      <c r="E12" s="6"/>
      <c r="F12" s="7">
        <f t="shared" si="0"/>
        <v>39123</v>
      </c>
      <c r="G12" s="11"/>
      <c r="H12" s="7"/>
      <c r="I12" s="15"/>
      <c r="J12" s="7">
        <f t="shared" si="1"/>
        <v>39123</v>
      </c>
      <c r="K12" s="7"/>
      <c r="L12" s="7">
        <v>37020</v>
      </c>
      <c r="M12" s="7">
        <f t="shared" si="2"/>
        <v>2103</v>
      </c>
    </row>
    <row r="13" spans="1:15" hidden="1" outlineLevel="1">
      <c r="A13" s="5" t="s">
        <v>11</v>
      </c>
      <c r="B13" s="12">
        <v>652</v>
      </c>
      <c r="C13" s="5">
        <v>634</v>
      </c>
      <c r="D13" s="6">
        <v>169</v>
      </c>
      <c r="E13" s="6"/>
      <c r="F13" s="7">
        <f t="shared" si="0"/>
        <v>107146</v>
      </c>
      <c r="G13" s="15">
        <v>90000</v>
      </c>
      <c r="H13" s="15"/>
      <c r="I13" s="15"/>
      <c r="J13" s="7">
        <f t="shared" si="1"/>
        <v>197146</v>
      </c>
      <c r="K13" s="7"/>
      <c r="L13" s="7">
        <v>170188</v>
      </c>
      <c r="M13" s="7">
        <f t="shared" si="2"/>
        <v>26958</v>
      </c>
    </row>
    <row r="14" spans="1:15" hidden="1" outlineLevel="1">
      <c r="A14" s="5" t="s">
        <v>12</v>
      </c>
      <c r="B14" s="12">
        <v>847</v>
      </c>
      <c r="C14" s="5">
        <v>1016</v>
      </c>
      <c r="D14" s="6"/>
      <c r="E14" s="6">
        <v>165</v>
      </c>
      <c r="F14" s="7">
        <f>C14*E14</f>
        <v>167640</v>
      </c>
      <c r="G14" s="7"/>
      <c r="H14" s="7"/>
      <c r="I14" s="15"/>
      <c r="J14" s="7">
        <f t="shared" si="1"/>
        <v>167640</v>
      </c>
      <c r="K14" s="7"/>
      <c r="L14" s="7">
        <v>133826</v>
      </c>
      <c r="M14" s="7">
        <f t="shared" si="2"/>
        <v>33814</v>
      </c>
    </row>
    <row r="15" spans="1:15" hidden="1" outlineLevel="1">
      <c r="B15" s="5">
        <f>SUM(B6:B14)</f>
        <v>2476</v>
      </c>
      <c r="C15" s="5">
        <f>SUM(C6:C14)</f>
        <v>2653</v>
      </c>
      <c r="I15" s="13"/>
      <c r="J15" s="7">
        <f>SUM(J6:J14)</f>
        <v>1350497</v>
      </c>
      <c r="K15" s="7"/>
      <c r="L15" s="7">
        <f t="shared" ref="L15:M15" si="3">SUM(L6:L14)</f>
        <v>1185302.7</v>
      </c>
      <c r="M15" s="7">
        <f t="shared" si="3"/>
        <v>105959.29999999999</v>
      </c>
    </row>
    <row r="16" spans="1:15" hidden="1" outlineLevel="1"/>
    <row r="17" spans="1:17" hidden="1" outlineLevel="1"/>
    <row r="18" spans="1:17" collapsed="1"/>
    <row r="19" spans="1:17">
      <c r="D19" s="18" t="s">
        <v>25</v>
      </c>
      <c r="E19" s="18">
        <v>95.28</v>
      </c>
    </row>
    <row r="20" spans="1:17">
      <c r="D20" s="67" t="s">
        <v>0</v>
      </c>
      <c r="E20" s="68"/>
    </row>
    <row r="21" spans="1:17" ht="90">
      <c r="A21" s="1" t="s">
        <v>1</v>
      </c>
      <c r="B21" s="2" t="s">
        <v>16</v>
      </c>
      <c r="C21" s="2" t="s">
        <v>13</v>
      </c>
      <c r="D21" s="3" t="s">
        <v>2</v>
      </c>
      <c r="E21" s="3" t="s">
        <v>3</v>
      </c>
      <c r="F21" s="3"/>
      <c r="G21" s="3"/>
      <c r="H21" s="4" t="s">
        <v>27</v>
      </c>
      <c r="I21" s="9" t="s">
        <v>17</v>
      </c>
      <c r="J21" s="9" t="s">
        <v>18</v>
      </c>
      <c r="K21" s="9" t="s">
        <v>19</v>
      </c>
      <c r="L21" s="19" t="s">
        <v>29</v>
      </c>
      <c r="M21" s="4" t="s">
        <v>24</v>
      </c>
      <c r="N21" s="23" t="s">
        <v>28</v>
      </c>
      <c r="O21" s="4" t="s">
        <v>30</v>
      </c>
      <c r="P21" s="4" t="s">
        <v>22</v>
      </c>
      <c r="Q21" s="4" t="s">
        <v>23</v>
      </c>
    </row>
    <row r="22" spans="1:17">
      <c r="A22" s="5" t="s">
        <v>4</v>
      </c>
      <c r="B22" s="5">
        <v>49</v>
      </c>
      <c r="C22" s="5">
        <v>53</v>
      </c>
      <c r="D22" s="6">
        <v>2561</v>
      </c>
      <c r="E22" s="6"/>
      <c r="F22" s="6">
        <v>27.3</v>
      </c>
      <c r="G22" s="6">
        <f>ROUNDUP(F22*$E$19,0)</f>
        <v>2602</v>
      </c>
      <c r="H22" s="7">
        <f>C22*G22</f>
        <v>137906</v>
      </c>
      <c r="I22" s="7">
        <v>5100</v>
      </c>
      <c r="J22" s="7"/>
      <c r="K22" s="15"/>
      <c r="L22" s="31">
        <f>H22+I22+J22+K22</f>
        <v>143006</v>
      </c>
      <c r="M22" s="7">
        <v>1800</v>
      </c>
      <c r="N22" s="24">
        <v>132154</v>
      </c>
      <c r="O22" s="7">
        <f>L22+M22+P22-N22</f>
        <v>-1939</v>
      </c>
      <c r="P22" s="7">
        <v>-14591</v>
      </c>
      <c r="Q22" s="14">
        <f>L22+P22+M22</f>
        <v>130215</v>
      </c>
    </row>
    <row r="23" spans="1:17">
      <c r="A23" s="5" t="s">
        <v>5</v>
      </c>
      <c r="B23" s="5">
        <v>116</v>
      </c>
      <c r="C23" s="5">
        <v>130</v>
      </c>
      <c r="D23" s="6">
        <v>2561</v>
      </c>
      <c r="E23" s="6"/>
      <c r="F23" s="6">
        <v>27.3</v>
      </c>
      <c r="G23" s="6">
        <f t="shared" ref="G23:G29" si="4">ROUNDUP(F23*$E$19,0)</f>
        <v>2602</v>
      </c>
      <c r="H23" s="7">
        <f t="shared" ref="H23:H30" si="5">C23*G23</f>
        <v>338260</v>
      </c>
      <c r="I23" s="7">
        <v>9500</v>
      </c>
      <c r="J23" s="7">
        <v>1500</v>
      </c>
      <c r="K23" s="15"/>
      <c r="L23" s="31">
        <f t="shared" ref="L23:L30" si="6">H23+I23+J23+K23</f>
        <v>349260</v>
      </c>
      <c r="M23" s="7">
        <v>7300</v>
      </c>
      <c r="N23" s="24">
        <v>307530</v>
      </c>
      <c r="O23" s="7">
        <f>L23+M23+P23-N23</f>
        <v>30</v>
      </c>
      <c r="P23" s="7">
        <v>-49000</v>
      </c>
      <c r="Q23" s="14">
        <f>L23+P23+M23</f>
        <v>307560</v>
      </c>
    </row>
    <row r="24" spans="1:17">
      <c r="A24" s="5" t="s">
        <v>6</v>
      </c>
      <c r="B24" s="5">
        <v>177</v>
      </c>
      <c r="C24" s="5">
        <v>173</v>
      </c>
      <c r="D24" s="6">
        <v>1255</v>
      </c>
      <c r="E24" s="6"/>
      <c r="F24" s="6">
        <v>14.7</v>
      </c>
      <c r="G24" s="6">
        <f t="shared" si="4"/>
        <v>1401</v>
      </c>
      <c r="H24" s="7">
        <f t="shared" si="5"/>
        <v>242373</v>
      </c>
      <c r="I24" s="7">
        <v>25000</v>
      </c>
      <c r="J24" s="7"/>
      <c r="K24" s="15"/>
      <c r="L24" s="11">
        <f t="shared" si="6"/>
        <v>267373</v>
      </c>
      <c r="M24" s="7"/>
      <c r="N24" s="24"/>
      <c r="O24" s="7"/>
    </row>
    <row r="25" spans="1:17">
      <c r="A25" s="5" t="s">
        <v>7</v>
      </c>
      <c r="B25" s="5">
        <v>276</v>
      </c>
      <c r="C25" s="5">
        <v>270</v>
      </c>
      <c r="D25" s="6">
        <v>434</v>
      </c>
      <c r="E25" s="6"/>
      <c r="F25" s="6">
        <v>4.8</v>
      </c>
      <c r="G25" s="6">
        <f t="shared" si="4"/>
        <v>458</v>
      </c>
      <c r="H25" s="7">
        <f t="shared" si="5"/>
        <v>123660</v>
      </c>
      <c r="I25" s="7"/>
      <c r="J25" s="7"/>
      <c r="K25" s="15"/>
      <c r="L25" s="11">
        <f t="shared" si="6"/>
        <v>123660</v>
      </c>
      <c r="M25" s="7"/>
      <c r="N25" s="24">
        <v>395297</v>
      </c>
      <c r="O25" s="7">
        <f>L25+L24-N25</f>
        <v>-4264</v>
      </c>
      <c r="P25" t="s">
        <v>32</v>
      </c>
    </row>
    <row r="26" spans="1:17">
      <c r="A26" s="5" t="s">
        <v>8</v>
      </c>
      <c r="B26" s="5">
        <v>89</v>
      </c>
      <c r="C26" s="5">
        <v>80</v>
      </c>
      <c r="D26" s="6">
        <v>562</v>
      </c>
      <c r="E26" s="6"/>
      <c r="F26" s="6">
        <v>6</v>
      </c>
      <c r="G26" s="6">
        <f t="shared" si="4"/>
        <v>572</v>
      </c>
      <c r="H26" s="7">
        <f t="shared" si="5"/>
        <v>45760</v>
      </c>
      <c r="I26" s="7">
        <v>3800</v>
      </c>
      <c r="J26" s="7"/>
      <c r="K26" s="15"/>
      <c r="L26" s="11">
        <f t="shared" si="6"/>
        <v>49560</v>
      </c>
      <c r="M26" s="7"/>
      <c r="N26" s="24">
        <v>60570</v>
      </c>
      <c r="O26" s="7">
        <f t="shared" ref="O26:O29" si="7">L26-N26</f>
        <v>-11010</v>
      </c>
      <c r="P26" t="s">
        <v>32</v>
      </c>
    </row>
    <row r="27" spans="1:17">
      <c r="A27" s="5" t="s">
        <v>9</v>
      </c>
      <c r="B27" s="8">
        <v>90</v>
      </c>
      <c r="C27" s="5">
        <v>90</v>
      </c>
      <c r="D27" s="6">
        <v>553</v>
      </c>
      <c r="E27" s="6"/>
      <c r="F27" s="6">
        <v>6</v>
      </c>
      <c r="G27" s="6">
        <f t="shared" si="4"/>
        <v>572</v>
      </c>
      <c r="H27" s="7">
        <f t="shared" si="5"/>
        <v>51480</v>
      </c>
      <c r="I27" s="7">
        <v>4000</v>
      </c>
      <c r="J27" s="7"/>
      <c r="K27" s="15"/>
      <c r="L27" s="11">
        <f t="shared" si="6"/>
        <v>55480</v>
      </c>
      <c r="M27" s="7"/>
      <c r="N27" s="24">
        <v>52490</v>
      </c>
      <c r="O27" s="32">
        <f t="shared" si="7"/>
        <v>2990</v>
      </c>
    </row>
    <row r="28" spans="1:17">
      <c r="A28" s="5" t="s">
        <v>10</v>
      </c>
      <c r="B28" s="5">
        <v>180</v>
      </c>
      <c r="C28" s="5">
        <v>207</v>
      </c>
      <c r="D28" s="6">
        <v>189</v>
      </c>
      <c r="E28" s="6"/>
      <c r="F28" s="6">
        <v>1.1000000000000001</v>
      </c>
      <c r="G28" s="6">
        <f t="shared" si="4"/>
        <v>105</v>
      </c>
      <c r="H28" s="7">
        <f t="shared" si="5"/>
        <v>21735</v>
      </c>
      <c r="I28" s="11"/>
      <c r="J28" s="7"/>
      <c r="K28" s="15"/>
      <c r="L28" s="11">
        <f t="shared" si="6"/>
        <v>21735</v>
      </c>
      <c r="M28" s="7"/>
      <c r="N28" s="24">
        <v>40541</v>
      </c>
      <c r="O28" s="7">
        <f t="shared" si="7"/>
        <v>-18806</v>
      </c>
      <c r="P28" t="s">
        <v>32</v>
      </c>
    </row>
    <row r="29" spans="1:17">
      <c r="A29" s="5" t="s">
        <v>11</v>
      </c>
      <c r="B29" s="12">
        <v>652</v>
      </c>
      <c r="C29" s="5">
        <v>634</v>
      </c>
      <c r="D29" s="6">
        <v>169</v>
      </c>
      <c r="E29" s="6"/>
      <c r="F29" s="6">
        <v>1.8</v>
      </c>
      <c r="G29" s="6">
        <f t="shared" si="4"/>
        <v>172</v>
      </c>
      <c r="H29" s="7">
        <f>C29*G29</f>
        <v>109048</v>
      </c>
      <c r="I29" s="15">
        <v>90000</v>
      </c>
      <c r="J29" s="15"/>
      <c r="K29" s="15"/>
      <c r="L29" s="11">
        <f t="shared" si="6"/>
        <v>199048</v>
      </c>
      <c r="M29" s="7"/>
      <c r="N29" s="24">
        <v>253795</v>
      </c>
      <c r="O29" s="7">
        <f t="shared" si="7"/>
        <v>-54747</v>
      </c>
      <c r="P29" t="s">
        <v>32</v>
      </c>
    </row>
    <row r="30" spans="1:17">
      <c r="A30" s="5" t="s">
        <v>12</v>
      </c>
      <c r="B30" s="12">
        <v>847</v>
      </c>
      <c r="C30" s="5">
        <v>1016</v>
      </c>
      <c r="D30" s="6"/>
      <c r="E30" s="6">
        <v>165</v>
      </c>
      <c r="F30" s="6">
        <v>2</v>
      </c>
      <c r="G30" s="6">
        <f>ROUNDUP(F30*$E$19*0.88,0)</f>
        <v>168</v>
      </c>
      <c r="H30" s="7">
        <f t="shared" si="5"/>
        <v>170688</v>
      </c>
      <c r="I30" s="7"/>
      <c r="J30" s="7"/>
      <c r="K30" s="15"/>
      <c r="L30" s="11">
        <f t="shared" si="6"/>
        <v>170688</v>
      </c>
      <c r="M30" s="7"/>
      <c r="N30" s="24">
        <v>167640</v>
      </c>
      <c r="O30" s="32">
        <f>L30-N30</f>
        <v>3048</v>
      </c>
    </row>
    <row r="31" spans="1:17">
      <c r="B31" s="5">
        <f>SUM(B22:B30)</f>
        <v>2476</v>
      </c>
      <c r="C31" s="5">
        <f>SUM(C22:C30)</f>
        <v>2653</v>
      </c>
      <c r="H31" s="17">
        <f>SUM(H22:H30)</f>
        <v>1240910</v>
      </c>
      <c r="I31" s="13"/>
      <c r="L31" s="28">
        <f>SUM(L22:L30)</f>
        <v>1379810</v>
      </c>
      <c r="M31" s="17">
        <f t="shared" ref="M31:O31" si="8">SUM(M22:M30)</f>
        <v>9100</v>
      </c>
      <c r="N31" s="25">
        <f t="shared" si="8"/>
        <v>1410017</v>
      </c>
      <c r="O31" s="17">
        <f t="shared" si="8"/>
        <v>-84698</v>
      </c>
    </row>
    <row r="32" spans="1:17">
      <c r="L32" s="29"/>
      <c r="N32" s="26"/>
    </row>
    <row r="33" spans="1:19">
      <c r="A33" s="5" t="s">
        <v>26</v>
      </c>
      <c r="B33" s="5"/>
      <c r="C33" s="5">
        <f>C22+C23+C29</f>
        <v>817</v>
      </c>
      <c r="D33" s="5"/>
      <c r="E33" s="5"/>
      <c r="F33" s="42">
        <v>1.5</v>
      </c>
      <c r="G33" s="42">
        <f>ROUNDUP(F33*$E$19,0)</f>
        <v>143</v>
      </c>
      <c r="H33" s="22">
        <f>C33*G33</f>
        <v>116831</v>
      </c>
      <c r="I33" s="20"/>
      <c r="J33" s="20"/>
      <c r="K33" s="20"/>
      <c r="L33" s="30">
        <v>116831</v>
      </c>
      <c r="M33" s="20"/>
      <c r="N33" s="27">
        <v>40000</v>
      </c>
      <c r="O33" s="7">
        <f>L33-N33</f>
        <v>76831</v>
      </c>
    </row>
    <row r="34" spans="1:19">
      <c r="A34" s="33"/>
      <c r="B34" s="33"/>
      <c r="C34" s="33"/>
      <c r="D34" s="33"/>
      <c r="E34" s="33"/>
      <c r="F34" s="43"/>
      <c r="G34" s="43"/>
      <c r="H34" s="34"/>
      <c r="I34" s="36"/>
      <c r="J34" s="36"/>
      <c r="K34" s="36"/>
      <c r="L34" s="37"/>
      <c r="M34" s="36"/>
      <c r="N34" s="38"/>
      <c r="O34" s="35"/>
    </row>
    <row r="35" spans="1:19">
      <c r="A35" s="5" t="s">
        <v>33</v>
      </c>
      <c r="B35" s="5"/>
      <c r="C35" s="5"/>
      <c r="D35" s="5"/>
      <c r="E35" s="5"/>
      <c r="F35" s="42"/>
      <c r="G35" s="42"/>
      <c r="H35" s="20"/>
      <c r="I35" s="20"/>
      <c r="J35" s="20"/>
      <c r="K35" s="20"/>
      <c r="L35" s="30"/>
      <c r="M35" s="20"/>
      <c r="N35" s="27">
        <v>10000</v>
      </c>
      <c r="O35" s="7"/>
    </row>
    <row r="36" spans="1:19">
      <c r="H36" s="21"/>
      <c r="I36" s="39"/>
      <c r="J36" s="39"/>
      <c r="K36" s="39"/>
      <c r="L36" s="40"/>
      <c r="M36" s="39"/>
      <c r="N36" s="41"/>
    </row>
    <row r="37" spans="1:19">
      <c r="A37" s="5" t="s">
        <v>31</v>
      </c>
      <c r="B37" s="5"/>
      <c r="C37" s="5"/>
      <c r="D37" s="5"/>
      <c r="E37" s="5"/>
      <c r="F37" s="5"/>
      <c r="G37" s="5"/>
      <c r="H37" s="22">
        <f>-P22-P23</f>
        <v>63591</v>
      </c>
      <c r="I37" s="20"/>
      <c r="J37" s="20"/>
      <c r="K37" s="20">
        <v>40000</v>
      </c>
      <c r="L37" s="30">
        <f>H37+K37</f>
        <v>103591</v>
      </c>
      <c r="M37" s="20"/>
      <c r="N37" s="27">
        <v>111878</v>
      </c>
      <c r="O37" s="7">
        <f>L37-N37</f>
        <v>-8287</v>
      </c>
      <c r="P37" t="s">
        <v>32</v>
      </c>
    </row>
    <row r="42" spans="1:19">
      <c r="A42" t="s">
        <v>37</v>
      </c>
    </row>
    <row r="44" spans="1:19">
      <c r="D44" s="18" t="s">
        <v>25</v>
      </c>
      <c r="E44" s="18">
        <v>95.28</v>
      </c>
    </row>
    <row r="45" spans="1:19">
      <c r="D45" s="67" t="s">
        <v>0</v>
      </c>
      <c r="E45" s="68"/>
    </row>
    <row r="46" spans="1:19" ht="90">
      <c r="A46" s="1" t="s">
        <v>1</v>
      </c>
      <c r="B46" s="2" t="s">
        <v>16</v>
      </c>
      <c r="C46" s="2" t="s">
        <v>13</v>
      </c>
      <c r="D46" s="3" t="s">
        <v>2</v>
      </c>
      <c r="E46" s="3" t="s">
        <v>3</v>
      </c>
      <c r="F46" s="3" t="s">
        <v>38</v>
      </c>
      <c r="G46" s="3" t="s">
        <v>39</v>
      </c>
      <c r="H46" s="4" t="s">
        <v>40</v>
      </c>
      <c r="I46" s="9" t="s">
        <v>17</v>
      </c>
      <c r="J46" s="9" t="s">
        <v>18</v>
      </c>
      <c r="K46" s="9" t="s">
        <v>19</v>
      </c>
      <c r="L46" s="19" t="s">
        <v>29</v>
      </c>
      <c r="M46" s="4" t="s">
        <v>24</v>
      </c>
      <c r="N46" s="23" t="s">
        <v>35</v>
      </c>
      <c r="O46" s="4" t="s">
        <v>30</v>
      </c>
      <c r="P46" s="4" t="s">
        <v>22</v>
      </c>
      <c r="Q46" s="4" t="s">
        <v>23</v>
      </c>
      <c r="S46" s="4" t="s">
        <v>36</v>
      </c>
    </row>
    <row r="47" spans="1:19">
      <c r="A47" s="5" t="s">
        <v>4</v>
      </c>
      <c r="B47" s="5">
        <v>49</v>
      </c>
      <c r="C47" s="5">
        <v>53</v>
      </c>
      <c r="D47" s="6">
        <v>2561</v>
      </c>
      <c r="E47" s="6"/>
      <c r="F47" s="6">
        <v>27.3</v>
      </c>
      <c r="G47" s="6">
        <f>ROUNDUP(F47*$E$19,0)</f>
        <v>2602</v>
      </c>
      <c r="H47" s="7">
        <f>C47*G47</f>
        <v>137906</v>
      </c>
      <c r="I47" s="7">
        <v>5100</v>
      </c>
      <c r="J47" s="7"/>
      <c r="K47" s="15"/>
      <c r="L47" s="31">
        <f>H47+I47+J47+K47</f>
        <v>143006</v>
      </c>
      <c r="M47" s="7">
        <v>1800</v>
      </c>
      <c r="N47" s="44">
        <v>128929</v>
      </c>
      <c r="O47" s="32">
        <f>L47+M47+P47-N47</f>
        <v>0</v>
      </c>
      <c r="P47" s="32">
        <v>-15877</v>
      </c>
      <c r="Q47" s="14">
        <f>L47+P47+M47</f>
        <v>128929</v>
      </c>
      <c r="S47" s="5">
        <f t="shared" ref="S47:S51" si="9">ROUNDUP(G47/G22*100,2)</f>
        <v>100</v>
      </c>
    </row>
    <row r="48" spans="1:19">
      <c r="A48" s="5" t="s">
        <v>5</v>
      </c>
      <c r="B48" s="5">
        <v>116</v>
      </c>
      <c r="C48" s="5">
        <v>130</v>
      </c>
      <c r="D48" s="6">
        <v>2561</v>
      </c>
      <c r="E48" s="6"/>
      <c r="F48" s="6">
        <v>27.3</v>
      </c>
      <c r="G48" s="6">
        <f t="shared" ref="G48:G54" si="10">ROUNDUP(F48*$E$19,0)</f>
        <v>2602</v>
      </c>
      <c r="H48" s="7">
        <f t="shared" ref="H48:H55" si="11">C48*G48</f>
        <v>338260</v>
      </c>
      <c r="I48" s="7">
        <v>9500</v>
      </c>
      <c r="J48" s="7">
        <v>1500</v>
      </c>
      <c r="K48" s="15"/>
      <c r="L48" s="31">
        <f t="shared" ref="L48:L55" si="12">H48+I48+J48+K48</f>
        <v>349260</v>
      </c>
      <c r="M48" s="7">
        <v>7300</v>
      </c>
      <c r="N48" s="44">
        <v>306480</v>
      </c>
      <c r="O48" s="32">
        <f>L48+M48+P48-N48</f>
        <v>0</v>
      </c>
      <c r="P48" s="32">
        <v>-50080</v>
      </c>
      <c r="Q48" s="14">
        <f>L48+P48+M48</f>
        <v>306480</v>
      </c>
      <c r="S48" s="5">
        <f t="shared" si="9"/>
        <v>100</v>
      </c>
    </row>
    <row r="49" spans="1:19">
      <c r="A49" s="5" t="s">
        <v>6</v>
      </c>
      <c r="B49" s="5">
        <v>177</v>
      </c>
      <c r="C49" s="5">
        <v>173</v>
      </c>
      <c r="D49" s="6">
        <v>1255</v>
      </c>
      <c r="E49" s="6"/>
      <c r="F49" s="6">
        <v>14.7</v>
      </c>
      <c r="G49" s="6">
        <f t="shared" si="10"/>
        <v>1401</v>
      </c>
      <c r="H49" s="7">
        <f t="shared" si="11"/>
        <v>242373</v>
      </c>
      <c r="I49" s="7">
        <v>25000</v>
      </c>
      <c r="J49" s="7"/>
      <c r="K49" s="15"/>
      <c r="L49" s="11">
        <f t="shared" si="12"/>
        <v>267373</v>
      </c>
      <c r="M49" s="7"/>
      <c r="N49" s="24"/>
      <c r="O49" s="7"/>
      <c r="S49" s="5">
        <f t="shared" si="9"/>
        <v>100</v>
      </c>
    </row>
    <row r="50" spans="1:19">
      <c r="A50" s="5" t="s">
        <v>7</v>
      </c>
      <c r="B50" s="5">
        <v>276</v>
      </c>
      <c r="C50" s="5">
        <v>270</v>
      </c>
      <c r="D50" s="6">
        <v>434</v>
      </c>
      <c r="E50" s="6"/>
      <c r="F50" s="6">
        <v>4.8</v>
      </c>
      <c r="G50" s="6">
        <f t="shared" si="10"/>
        <v>458</v>
      </c>
      <c r="H50" s="7">
        <f t="shared" si="11"/>
        <v>123660</v>
      </c>
      <c r="I50" s="7"/>
      <c r="J50" s="7"/>
      <c r="K50" s="15"/>
      <c r="L50" s="11">
        <f t="shared" si="12"/>
        <v>123660</v>
      </c>
      <c r="M50" s="7"/>
      <c r="N50" s="24">
        <v>395297</v>
      </c>
      <c r="O50" s="7">
        <f>L50+L49-N50</f>
        <v>-4264</v>
      </c>
      <c r="P50" t="s">
        <v>32</v>
      </c>
      <c r="S50" s="5">
        <f t="shared" si="9"/>
        <v>100</v>
      </c>
    </row>
    <row r="51" spans="1:19">
      <c r="A51" s="5" t="s">
        <v>8</v>
      </c>
      <c r="B51" s="5">
        <v>89</v>
      </c>
      <c r="C51" s="5">
        <v>80</v>
      </c>
      <c r="D51" s="6">
        <v>562</v>
      </c>
      <c r="E51" s="6"/>
      <c r="F51" s="6">
        <v>6</v>
      </c>
      <c r="G51" s="6">
        <f t="shared" si="10"/>
        <v>572</v>
      </c>
      <c r="H51" s="7">
        <f t="shared" si="11"/>
        <v>45760</v>
      </c>
      <c r="I51" s="32">
        <v>4600</v>
      </c>
      <c r="J51" s="7"/>
      <c r="K51" s="15"/>
      <c r="L51" s="11">
        <f t="shared" si="12"/>
        <v>50360</v>
      </c>
      <c r="M51" s="7"/>
      <c r="N51" s="44">
        <v>56570</v>
      </c>
      <c r="O51" s="7">
        <f t="shared" ref="O51:O54" si="13">L51-N51</f>
        <v>-6210</v>
      </c>
      <c r="P51" t="s">
        <v>32</v>
      </c>
      <c r="S51" s="5">
        <f t="shared" si="9"/>
        <v>100</v>
      </c>
    </row>
    <row r="52" spans="1:19">
      <c r="A52" s="5" t="s">
        <v>9</v>
      </c>
      <c r="B52" s="8">
        <v>90</v>
      </c>
      <c r="C52" s="5">
        <v>90</v>
      </c>
      <c r="D52" s="6">
        <v>553</v>
      </c>
      <c r="E52" s="6"/>
      <c r="F52" s="6">
        <v>6</v>
      </c>
      <c r="G52" s="45">
        <v>539</v>
      </c>
      <c r="H52" s="7">
        <f t="shared" si="11"/>
        <v>48510</v>
      </c>
      <c r="I52" s="7">
        <v>4000</v>
      </c>
      <c r="J52" s="7"/>
      <c r="K52" s="15"/>
      <c r="L52" s="11">
        <f t="shared" si="12"/>
        <v>52510</v>
      </c>
      <c r="M52" s="7"/>
      <c r="N52" s="44">
        <v>52510</v>
      </c>
      <c r="O52" s="32">
        <f t="shared" si="13"/>
        <v>0</v>
      </c>
      <c r="S52" s="47">
        <f>ROUNDUP(G52/G27*100,2)</f>
        <v>94.240000000000009</v>
      </c>
    </row>
    <row r="53" spans="1:19">
      <c r="A53" s="5" t="s">
        <v>10</v>
      </c>
      <c r="B53" s="5">
        <v>180</v>
      </c>
      <c r="C53" s="5">
        <v>207</v>
      </c>
      <c r="D53" s="6">
        <v>189</v>
      </c>
      <c r="E53" s="6"/>
      <c r="F53" s="6">
        <v>1.1000000000000001</v>
      </c>
      <c r="G53" s="45">
        <v>144</v>
      </c>
      <c r="H53" s="7">
        <f t="shared" si="11"/>
        <v>29808</v>
      </c>
      <c r="I53" s="31">
        <v>2000</v>
      </c>
      <c r="J53" s="7"/>
      <c r="K53" s="15"/>
      <c r="L53" s="11">
        <f t="shared" si="12"/>
        <v>31808</v>
      </c>
      <c r="M53" s="7"/>
      <c r="N53" s="44">
        <v>31808</v>
      </c>
      <c r="O53" s="32">
        <f t="shared" si="13"/>
        <v>0</v>
      </c>
      <c r="S53" s="47">
        <f>ROUNDUP(G53/G28*100,2)</f>
        <v>137.14999999999998</v>
      </c>
    </row>
    <row r="54" spans="1:19">
      <c r="A54" s="5" t="s">
        <v>11</v>
      </c>
      <c r="B54" s="12">
        <v>652</v>
      </c>
      <c r="C54" s="5">
        <v>634</v>
      </c>
      <c r="D54" s="6">
        <v>169</v>
      </c>
      <c r="E54" s="6"/>
      <c r="F54" s="6">
        <v>1.8</v>
      </c>
      <c r="G54" s="6">
        <f t="shared" si="10"/>
        <v>172</v>
      </c>
      <c r="H54" s="7">
        <f t="shared" si="11"/>
        <v>109048</v>
      </c>
      <c r="I54" s="15">
        <v>30000</v>
      </c>
      <c r="J54" s="15"/>
      <c r="K54" s="15">
        <v>60000</v>
      </c>
      <c r="L54" s="11">
        <f t="shared" si="12"/>
        <v>199048</v>
      </c>
      <c r="M54" s="7"/>
      <c r="N54" s="44">
        <v>213872</v>
      </c>
      <c r="O54" s="7">
        <f t="shared" si="13"/>
        <v>-14824</v>
      </c>
      <c r="P54" t="s">
        <v>32</v>
      </c>
      <c r="S54" s="5">
        <f t="shared" ref="S54:S55" si="14">ROUNDUP(G54/G29*100,2)</f>
        <v>100</v>
      </c>
    </row>
    <row r="55" spans="1:19">
      <c r="A55" s="5" t="s">
        <v>12</v>
      </c>
      <c r="B55" s="12">
        <v>847</v>
      </c>
      <c r="C55" s="5">
        <v>1016</v>
      </c>
      <c r="D55" s="6"/>
      <c r="E55" s="6">
        <v>165</v>
      </c>
      <c r="F55" s="6">
        <v>2</v>
      </c>
      <c r="G55" s="6">
        <f>ROUNDUP(F55*$E$19*0.88,0)</f>
        <v>168</v>
      </c>
      <c r="H55" s="7">
        <f t="shared" si="11"/>
        <v>170688</v>
      </c>
      <c r="I55" s="7"/>
      <c r="J55" s="7"/>
      <c r="K55" s="15"/>
      <c r="L55" s="11">
        <f t="shared" si="12"/>
        <v>170688</v>
      </c>
      <c r="M55" s="7"/>
      <c r="N55" s="44">
        <v>170688</v>
      </c>
      <c r="O55" s="32">
        <f>L55-N55</f>
        <v>0</v>
      </c>
      <c r="S55" s="5">
        <f t="shared" si="14"/>
        <v>100</v>
      </c>
    </row>
    <row r="56" spans="1:19">
      <c r="B56" s="5">
        <f>SUM(B47:B55)</f>
        <v>2476</v>
      </c>
      <c r="C56" s="5">
        <f>SUM(C47:C55)</f>
        <v>2653</v>
      </c>
      <c r="H56" s="17">
        <f>SUM(H47:H55)</f>
        <v>1246013</v>
      </c>
      <c r="I56" s="13"/>
      <c r="L56" s="28">
        <f>SUM(L47:L55)</f>
        <v>1387713</v>
      </c>
      <c r="M56" s="17">
        <f t="shared" ref="M56:O56" si="15">SUM(M47:M55)</f>
        <v>9100</v>
      </c>
      <c r="N56" s="25">
        <f t="shared" si="15"/>
        <v>1356154</v>
      </c>
      <c r="O56" s="17">
        <f t="shared" si="15"/>
        <v>-25298</v>
      </c>
    </row>
    <row r="57" spans="1:19">
      <c r="L57" s="29"/>
      <c r="N57" s="26"/>
    </row>
    <row r="58" spans="1:19">
      <c r="A58" s="5" t="s">
        <v>26</v>
      </c>
      <c r="B58" s="5"/>
      <c r="C58" s="5">
        <f>C47+C48+C54</f>
        <v>817</v>
      </c>
      <c r="D58" s="5"/>
      <c r="E58" s="5"/>
      <c r="F58" s="42">
        <v>1.5</v>
      </c>
      <c r="G58" s="42">
        <f>ROUNDUP(F58*$E$19,0)</f>
        <v>143</v>
      </c>
      <c r="H58" s="22">
        <f>C58*G58</f>
        <v>116831</v>
      </c>
      <c r="I58" s="20"/>
      <c r="J58" s="20"/>
      <c r="K58" s="20"/>
      <c r="L58" s="30">
        <v>116831</v>
      </c>
      <c r="M58" s="20"/>
      <c r="N58" s="27">
        <v>40000</v>
      </c>
      <c r="O58" s="7">
        <f>L58-N58</f>
        <v>76831</v>
      </c>
    </row>
    <row r="59" spans="1:19">
      <c r="A59" s="33"/>
      <c r="B59" s="33"/>
      <c r="C59" s="33"/>
      <c r="D59" s="33"/>
      <c r="E59" s="33"/>
      <c r="F59" s="43"/>
      <c r="G59" s="43"/>
      <c r="H59" s="34"/>
      <c r="I59" s="36"/>
      <c r="J59" s="36"/>
      <c r="K59" s="36"/>
      <c r="L59" s="37"/>
      <c r="M59" s="36"/>
      <c r="N59" s="38"/>
      <c r="O59" s="35"/>
    </row>
    <row r="60" spans="1:19">
      <c r="A60" s="5" t="s">
        <v>33</v>
      </c>
      <c r="B60" s="5"/>
      <c r="C60" s="5"/>
      <c r="D60" s="5"/>
      <c r="E60" s="5"/>
      <c r="F60" s="42"/>
      <c r="G60" s="42"/>
      <c r="H60" s="20"/>
      <c r="I60" s="20"/>
      <c r="J60" s="20"/>
      <c r="K60" s="20"/>
      <c r="L60" s="30"/>
      <c r="M60" s="20"/>
      <c r="N60" s="27">
        <v>10000</v>
      </c>
      <c r="O60" s="7"/>
    </row>
    <row r="61" spans="1:19">
      <c r="H61" s="21"/>
      <c r="I61" s="39"/>
      <c r="J61" s="39"/>
      <c r="K61" s="39"/>
      <c r="L61" s="40"/>
      <c r="M61" s="39"/>
      <c r="N61" s="41"/>
    </row>
    <row r="62" spans="1:19">
      <c r="A62" s="5" t="s">
        <v>31</v>
      </c>
      <c r="B62" s="5"/>
      <c r="C62" s="5"/>
      <c r="D62" s="5"/>
      <c r="E62" s="5"/>
      <c r="F62" s="5"/>
      <c r="G62" s="5"/>
      <c r="H62" s="22">
        <f>-P47-P48</f>
        <v>65957</v>
      </c>
      <c r="I62" s="20"/>
      <c r="J62" s="20"/>
      <c r="K62" s="20">
        <v>40000</v>
      </c>
      <c r="L62" s="30">
        <f>H62+K62</f>
        <v>105957</v>
      </c>
      <c r="M62" s="20"/>
      <c r="N62" s="46">
        <v>105957</v>
      </c>
      <c r="O62" s="32">
        <f>L62-N62</f>
        <v>0</v>
      </c>
    </row>
  </sheetData>
  <mergeCells count="4">
    <mergeCell ref="A1:F2"/>
    <mergeCell ref="D4:E4"/>
    <mergeCell ref="D20:E20"/>
    <mergeCell ref="D45:E45"/>
  </mergeCells>
  <pageMargins left="0.31496062992125984" right="0.31496062992125984" top="0.74803149606299213" bottom="0.74803149606299213" header="0.31496062992125984" footer="0.31496062992125984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"/>
  <sheetViews>
    <sheetView tabSelected="1" topLeftCell="A3" workbookViewId="0">
      <selection activeCell="C27" sqref="C27"/>
    </sheetView>
  </sheetViews>
  <sheetFormatPr defaultRowHeight="15"/>
  <cols>
    <col min="1" max="1" width="28.42578125" customWidth="1"/>
    <col min="2" max="2" width="9.140625" customWidth="1"/>
    <col min="3" max="3" width="6.42578125" customWidth="1"/>
    <col min="5" max="5" width="7.5703125" customWidth="1"/>
    <col min="6" max="7" width="16.42578125" customWidth="1"/>
    <col min="8" max="8" width="9.7109375" customWidth="1"/>
    <col min="9" max="9" width="11.5703125" customWidth="1"/>
    <col min="10" max="10" width="10" bestFit="1" customWidth="1"/>
    <col min="11" max="11" width="10" hidden="1" customWidth="1"/>
    <col min="12" max="12" width="10" bestFit="1" customWidth="1"/>
    <col min="13" max="13" width="11.42578125" bestFit="1" customWidth="1"/>
    <col min="14" max="14" width="12.140625" customWidth="1"/>
    <col min="15" max="16" width="16.140625" customWidth="1"/>
    <col min="17" max="17" width="12.28515625" customWidth="1"/>
    <col min="18" max="18" width="11.85546875" hidden="1" customWidth="1"/>
    <col min="19" max="19" width="11.5703125" hidden="1" customWidth="1"/>
    <col min="20" max="20" width="11.85546875" hidden="1" customWidth="1"/>
    <col min="21" max="21" width="10.28515625" hidden="1" customWidth="1"/>
    <col min="22" max="22" width="0" hidden="1" customWidth="1"/>
    <col min="24" max="24" width="10" bestFit="1" customWidth="1"/>
  </cols>
  <sheetData>
    <row r="1" spans="1:24" ht="15.75">
      <c r="A1" s="57" t="s">
        <v>51</v>
      </c>
    </row>
    <row r="4" spans="1:24">
      <c r="D4" s="18">
        <v>98.7</v>
      </c>
      <c r="E4" t="s">
        <v>53</v>
      </c>
    </row>
    <row r="5" spans="1:24" ht="60">
      <c r="A5" s="5" t="s">
        <v>1</v>
      </c>
      <c r="B5" s="48" t="s">
        <v>54</v>
      </c>
      <c r="C5" s="53" t="s">
        <v>41</v>
      </c>
      <c r="D5" s="54">
        <v>1</v>
      </c>
      <c r="E5" s="54">
        <v>0.88</v>
      </c>
      <c r="F5" s="56" t="s">
        <v>50</v>
      </c>
      <c r="G5" s="56" t="s">
        <v>56</v>
      </c>
      <c r="H5" s="55" t="s">
        <v>49</v>
      </c>
      <c r="I5" s="62" t="s">
        <v>59</v>
      </c>
      <c r="J5" s="48" t="s">
        <v>17</v>
      </c>
      <c r="K5" s="48" t="s">
        <v>18</v>
      </c>
      <c r="L5" s="48" t="s">
        <v>19</v>
      </c>
      <c r="M5" s="61" t="s">
        <v>58</v>
      </c>
      <c r="N5" s="48" t="s">
        <v>24</v>
      </c>
      <c r="O5" s="62" t="s">
        <v>57</v>
      </c>
      <c r="P5" s="52"/>
      <c r="Q5" s="52" t="s">
        <v>60</v>
      </c>
      <c r="R5" s="48" t="s">
        <v>30</v>
      </c>
      <c r="S5" s="48" t="s">
        <v>22</v>
      </c>
      <c r="T5" s="48" t="s">
        <v>23</v>
      </c>
      <c r="U5" s="51" t="s">
        <v>43</v>
      </c>
    </row>
    <row r="6" spans="1:24">
      <c r="A6" s="59" t="s">
        <v>4</v>
      </c>
      <c r="B6" s="5">
        <v>51</v>
      </c>
      <c r="C6" s="53">
        <v>27.3</v>
      </c>
      <c r="D6" s="5">
        <v>2694.51</v>
      </c>
      <c r="E6" s="5"/>
      <c r="F6" s="56">
        <f t="shared" ref="F6:F13" si="0">D6</f>
        <v>2694.51</v>
      </c>
      <c r="G6" s="56">
        <f>F6</f>
        <v>2694.51</v>
      </c>
      <c r="H6" s="5">
        <f t="shared" ref="H6:H10" si="1">ROUND(F6/D6*100,0)</f>
        <v>100</v>
      </c>
      <c r="I6" s="20">
        <f>B6*G6</f>
        <v>137420.01</v>
      </c>
      <c r="J6" s="63">
        <f>4140</f>
        <v>4140</v>
      </c>
      <c r="K6" s="20"/>
      <c r="L6" s="20"/>
      <c r="M6" s="30">
        <f>I6+J6+K6+L6</f>
        <v>141560.01</v>
      </c>
      <c r="N6" s="20">
        <f>2400+5000+0</f>
        <v>7400</v>
      </c>
      <c r="O6" s="20">
        <v>137785.16</v>
      </c>
      <c r="P6" s="60">
        <f>M6-O6</f>
        <v>3774.8500000000058</v>
      </c>
      <c r="Q6" s="49">
        <f>P6+O6</f>
        <v>141560.01</v>
      </c>
      <c r="R6" s="50">
        <f>Q6-T6</f>
        <v>8477</v>
      </c>
      <c r="S6" s="20">
        <v>-15877</v>
      </c>
      <c r="T6" s="20">
        <f>M6+N6+S6</f>
        <v>133083.01</v>
      </c>
      <c r="U6" s="27">
        <v>1050</v>
      </c>
    </row>
    <row r="7" spans="1:24">
      <c r="A7" s="59" t="s">
        <v>5</v>
      </c>
      <c r="B7" s="5">
        <v>136</v>
      </c>
      <c r="C7" s="53">
        <v>27.3</v>
      </c>
      <c r="D7" s="5">
        <v>2694.51</v>
      </c>
      <c r="E7" s="5"/>
      <c r="F7" s="56">
        <f t="shared" si="0"/>
        <v>2694.51</v>
      </c>
      <c r="G7" s="56">
        <f t="shared" ref="G7:G16" si="2">F7</f>
        <v>2694.51</v>
      </c>
      <c r="H7" s="5">
        <f t="shared" si="1"/>
        <v>100</v>
      </c>
      <c r="I7" s="20">
        <f t="shared" ref="I7:I13" si="3">B7*G7</f>
        <v>366453.36000000004</v>
      </c>
      <c r="J7" s="63">
        <f>1968.89+15800</f>
        <v>17768.89</v>
      </c>
      <c r="K7" s="20"/>
      <c r="L7" s="20"/>
      <c r="M7" s="30">
        <f>I7+J7+K7+L7</f>
        <v>384222.25000000006</v>
      </c>
      <c r="N7" s="20">
        <f>7300+150+10000</f>
        <v>17450</v>
      </c>
      <c r="O7" s="20">
        <f>295890+10000</f>
        <v>305890</v>
      </c>
      <c r="P7" s="60">
        <f t="shared" ref="P7:P20" si="4">M7-O7</f>
        <v>78332.250000000058</v>
      </c>
      <c r="Q7" s="49">
        <f t="shared" ref="Q7:Q12" si="5">P7+O7</f>
        <v>384222.25000000006</v>
      </c>
      <c r="R7" s="50">
        <f>Q7-T7</f>
        <v>32630</v>
      </c>
      <c r="S7" s="20">
        <v>-50080</v>
      </c>
      <c r="T7" s="20">
        <f>M7+N7+S7</f>
        <v>351592.25000000006</v>
      </c>
      <c r="U7" s="27">
        <v>3225</v>
      </c>
    </row>
    <row r="8" spans="1:24">
      <c r="A8" s="5" t="s">
        <v>6</v>
      </c>
      <c r="B8" s="5">
        <v>174</v>
      </c>
      <c r="C8" s="53">
        <v>14.7</v>
      </c>
      <c r="D8" s="5">
        <v>1450.89</v>
      </c>
      <c r="E8" s="5"/>
      <c r="F8" s="56">
        <f t="shared" si="0"/>
        <v>1450.89</v>
      </c>
      <c r="G8" s="56">
        <f t="shared" si="2"/>
        <v>1450.89</v>
      </c>
      <c r="H8" s="5">
        <f t="shared" si="1"/>
        <v>100</v>
      </c>
      <c r="I8" s="20">
        <f t="shared" si="3"/>
        <v>252454.86000000002</v>
      </c>
      <c r="J8" s="58">
        <v>21000</v>
      </c>
      <c r="K8" s="20"/>
      <c r="L8" s="20"/>
      <c r="M8" s="30">
        <f>I8+J8+K8+L8</f>
        <v>273454.86</v>
      </c>
      <c r="N8" s="20"/>
      <c r="O8" s="20"/>
      <c r="P8" s="20">
        <f>M8-O8</f>
        <v>273454.86</v>
      </c>
      <c r="Q8" s="49"/>
      <c r="R8" s="20">
        <f>R10+R9</f>
        <v>0</v>
      </c>
      <c r="S8" s="5"/>
      <c r="T8" s="5"/>
      <c r="U8" s="27"/>
    </row>
    <row r="9" spans="1:24">
      <c r="A9" s="5" t="s">
        <v>7</v>
      </c>
      <c r="B9" s="5">
        <v>192</v>
      </c>
      <c r="C9" s="53">
        <v>4.8</v>
      </c>
      <c r="D9" s="5">
        <v>473.76</v>
      </c>
      <c r="E9" s="5"/>
      <c r="F9" s="56">
        <f t="shared" si="0"/>
        <v>473.76</v>
      </c>
      <c r="G9" s="56">
        <f t="shared" si="2"/>
        <v>473.76</v>
      </c>
      <c r="H9" s="5">
        <f t="shared" si="1"/>
        <v>100</v>
      </c>
      <c r="I9" s="20">
        <f t="shared" si="3"/>
        <v>90961.919999999998</v>
      </c>
      <c r="J9" s="58"/>
      <c r="K9" s="20"/>
      <c r="L9" s="20"/>
      <c r="M9" s="30">
        <f>I9+J9+K9+L9</f>
        <v>90961.919999999998</v>
      </c>
      <c r="N9" s="20"/>
      <c r="O9" s="20">
        <v>332219</v>
      </c>
      <c r="P9" s="60">
        <f>M9+P8-O9</f>
        <v>32197.77999999997</v>
      </c>
      <c r="Q9" s="49">
        <f t="shared" si="5"/>
        <v>364416.77999999997</v>
      </c>
      <c r="R9" s="50">
        <f>M9+M8-Q9</f>
        <v>0</v>
      </c>
      <c r="S9" s="5"/>
      <c r="T9" s="5"/>
      <c r="U9" s="27">
        <v>4264</v>
      </c>
      <c r="X9" s="21"/>
    </row>
    <row r="10" spans="1:24">
      <c r="A10" s="5" t="s">
        <v>8</v>
      </c>
      <c r="B10" s="5">
        <v>83</v>
      </c>
      <c r="C10" s="53">
        <v>6</v>
      </c>
      <c r="D10" s="5">
        <v>592.20000000000005</v>
      </c>
      <c r="E10" s="5"/>
      <c r="F10" s="56">
        <f t="shared" si="0"/>
        <v>592.20000000000005</v>
      </c>
      <c r="G10" s="56">
        <f t="shared" si="2"/>
        <v>592.20000000000005</v>
      </c>
      <c r="H10" s="5">
        <f t="shared" si="1"/>
        <v>100</v>
      </c>
      <c r="I10" s="20">
        <f t="shared" si="3"/>
        <v>49152.600000000006</v>
      </c>
      <c r="J10" s="58">
        <v>5600</v>
      </c>
      <c r="K10" s="20"/>
      <c r="L10" s="20"/>
      <c r="M10" s="30">
        <f>I10+J10+K10+L10</f>
        <v>54752.600000000006</v>
      </c>
      <c r="N10" s="20"/>
      <c r="O10" s="20">
        <v>55851</v>
      </c>
      <c r="P10" s="60">
        <f t="shared" si="4"/>
        <v>-1098.3999999999942</v>
      </c>
      <c r="Q10" s="49">
        <f t="shared" si="5"/>
        <v>54752.600000000006</v>
      </c>
      <c r="R10" s="50">
        <f>M10-Q10</f>
        <v>0</v>
      </c>
      <c r="S10" s="5"/>
      <c r="T10" s="5"/>
      <c r="U10" s="27">
        <v>8290</v>
      </c>
      <c r="X10" s="21"/>
    </row>
    <row r="11" spans="1:24">
      <c r="A11" s="5" t="s">
        <v>55</v>
      </c>
      <c r="B11" s="5">
        <v>71</v>
      </c>
      <c r="C11" s="53">
        <v>6</v>
      </c>
      <c r="D11" s="5">
        <v>592.20000000000005</v>
      </c>
      <c r="E11" s="5"/>
      <c r="F11" s="56">
        <f t="shared" si="0"/>
        <v>592.20000000000005</v>
      </c>
      <c r="G11" s="56">
        <f t="shared" si="2"/>
        <v>592.20000000000005</v>
      </c>
      <c r="H11" s="5">
        <v>100</v>
      </c>
      <c r="I11" s="20">
        <f t="shared" si="3"/>
        <v>42046.200000000004</v>
      </c>
      <c r="J11" s="58">
        <v>4000</v>
      </c>
      <c r="K11" s="20"/>
      <c r="L11" s="20"/>
      <c r="M11" s="30">
        <f t="shared" ref="M11:M12" si="6">I11+J11+K11+L11</f>
        <v>46046.200000000004</v>
      </c>
      <c r="N11" s="20"/>
      <c r="O11" s="20">
        <v>48080</v>
      </c>
      <c r="P11" s="60">
        <f t="shared" si="4"/>
        <v>-2033.7999999999956</v>
      </c>
      <c r="Q11" s="49">
        <f t="shared" si="5"/>
        <v>46046.200000000004</v>
      </c>
      <c r="R11" s="50">
        <f t="shared" ref="R11:R12" si="7">M11-Q11</f>
        <v>0</v>
      </c>
      <c r="S11" s="5"/>
      <c r="T11" s="5"/>
      <c r="U11" s="46">
        <v>-10</v>
      </c>
    </row>
    <row r="12" spans="1:24">
      <c r="A12" s="5" t="s">
        <v>10</v>
      </c>
      <c r="B12" s="5">
        <v>0</v>
      </c>
      <c r="C12" s="53">
        <v>1.1000000000000001</v>
      </c>
      <c r="D12" s="5">
        <f t="shared" ref="D12" si="8">ROUNDUP(C12*$D$4,0)</f>
        <v>109</v>
      </c>
      <c r="E12" s="5"/>
      <c r="F12" s="56">
        <f t="shared" si="0"/>
        <v>109</v>
      </c>
      <c r="G12" s="56">
        <f t="shared" si="2"/>
        <v>109</v>
      </c>
      <c r="H12" s="5">
        <v>100</v>
      </c>
      <c r="I12" s="20">
        <f t="shared" si="3"/>
        <v>0</v>
      </c>
      <c r="J12" s="58">
        <v>0</v>
      </c>
      <c r="K12" s="20"/>
      <c r="L12" s="20"/>
      <c r="M12" s="30">
        <f t="shared" si="6"/>
        <v>0</v>
      </c>
      <c r="N12" s="20"/>
      <c r="O12" s="20">
        <v>9022</v>
      </c>
      <c r="P12" s="60">
        <f t="shared" si="4"/>
        <v>-9022</v>
      </c>
      <c r="Q12" s="49">
        <f t="shared" si="5"/>
        <v>0</v>
      </c>
      <c r="R12" s="50">
        <f t="shared" si="7"/>
        <v>0</v>
      </c>
      <c r="S12" s="5"/>
      <c r="T12" s="5"/>
      <c r="U12" s="27">
        <v>11344</v>
      </c>
    </row>
    <row r="13" spans="1:24">
      <c r="A13" s="5" t="s">
        <v>11</v>
      </c>
      <c r="B13" s="5">
        <f>333+286</f>
        <v>619</v>
      </c>
      <c r="C13" s="53">
        <v>1.8</v>
      </c>
      <c r="D13" s="5">
        <v>177.66</v>
      </c>
      <c r="E13" s="5"/>
      <c r="F13" s="56">
        <f t="shared" si="0"/>
        <v>177.66</v>
      </c>
      <c r="G13" s="56">
        <f t="shared" si="2"/>
        <v>177.66</v>
      </c>
      <c r="H13" s="5">
        <v>100</v>
      </c>
      <c r="I13" s="20">
        <f t="shared" si="3"/>
        <v>109971.54</v>
      </c>
      <c r="J13" s="58">
        <v>20000</v>
      </c>
      <c r="K13" s="20"/>
      <c r="L13" s="20">
        <v>60000</v>
      </c>
      <c r="M13" s="30">
        <f>I13+J13+K13+L13</f>
        <v>189971.53999999998</v>
      </c>
      <c r="N13" s="20">
        <f>13000+7000</f>
        <v>20000</v>
      </c>
      <c r="O13" s="20">
        <v>214136</v>
      </c>
      <c r="P13" s="60">
        <f>M13-O13</f>
        <v>-24164.460000000021</v>
      </c>
      <c r="Q13" s="49">
        <f>O13+P13</f>
        <v>189971.53999999998</v>
      </c>
      <c r="R13" s="50">
        <f>M13-Q13</f>
        <v>0</v>
      </c>
      <c r="S13" s="5"/>
      <c r="T13" s="5"/>
      <c r="U13" s="27">
        <v>34307</v>
      </c>
    </row>
    <row r="14" spans="1:24">
      <c r="A14" s="5"/>
      <c r="B14" s="5"/>
      <c r="C14" s="53"/>
      <c r="D14" s="5"/>
      <c r="E14" s="5"/>
      <c r="F14" s="56"/>
      <c r="G14" s="56">
        <f t="shared" si="2"/>
        <v>0</v>
      </c>
      <c r="H14" s="5"/>
      <c r="I14" s="20"/>
      <c r="J14" s="20">
        <f>SUM(J6:J13)</f>
        <v>72508.89</v>
      </c>
      <c r="K14" s="20"/>
      <c r="L14" s="20">
        <f>SUM(L6:L13)</f>
        <v>60000</v>
      </c>
      <c r="M14" s="30"/>
      <c r="N14" s="20">
        <f>SUM(N6:N13)</f>
        <v>44850</v>
      </c>
      <c r="O14" s="20"/>
      <c r="P14" s="20">
        <f t="shared" si="4"/>
        <v>0</v>
      </c>
      <c r="Q14" s="20"/>
      <c r="R14" s="20"/>
      <c r="S14" s="5"/>
      <c r="T14" s="5"/>
      <c r="U14" s="27"/>
    </row>
    <row r="15" spans="1:24">
      <c r="A15" s="5"/>
      <c r="B15" s="5"/>
      <c r="C15" s="53"/>
      <c r="D15" s="5"/>
      <c r="E15" s="5"/>
      <c r="F15" s="56"/>
      <c r="G15" s="56">
        <f t="shared" si="2"/>
        <v>0</v>
      </c>
      <c r="H15" s="5"/>
      <c r="I15" s="20"/>
      <c r="J15" s="20"/>
      <c r="K15" s="20"/>
      <c r="L15" s="20"/>
      <c r="M15" s="30"/>
      <c r="N15" s="20"/>
      <c r="O15" s="20"/>
      <c r="P15" s="20">
        <f t="shared" si="4"/>
        <v>0</v>
      </c>
      <c r="Q15" s="20"/>
      <c r="R15" s="20"/>
      <c r="S15" s="5"/>
      <c r="T15" s="5"/>
      <c r="U15" s="27"/>
    </row>
    <row r="16" spans="1:24">
      <c r="A16" s="5" t="s">
        <v>26</v>
      </c>
      <c r="B16" s="5">
        <f>B13+B20</f>
        <v>806</v>
      </c>
      <c r="C16" s="53">
        <v>1.5</v>
      </c>
      <c r="D16" s="5">
        <v>148</v>
      </c>
      <c r="E16" s="5"/>
      <c r="F16" s="56">
        <f>D16</f>
        <v>148</v>
      </c>
      <c r="G16" s="56">
        <f t="shared" si="2"/>
        <v>148</v>
      </c>
      <c r="H16" s="5">
        <v>100</v>
      </c>
      <c r="I16" s="20">
        <f>B16*G16</f>
        <v>119288</v>
      </c>
      <c r="J16" s="20"/>
      <c r="K16" s="20"/>
      <c r="L16" s="20"/>
      <c r="M16" s="30">
        <v>119288</v>
      </c>
      <c r="N16" s="20"/>
      <c r="O16" s="20">
        <v>40000</v>
      </c>
      <c r="P16" s="65">
        <f t="shared" si="4"/>
        <v>79288</v>
      </c>
      <c r="Q16" s="30">
        <f>O16+P16</f>
        <v>119288</v>
      </c>
      <c r="R16" s="20">
        <f>M16-Q16</f>
        <v>0</v>
      </c>
      <c r="S16" s="5" t="s">
        <v>42</v>
      </c>
      <c r="T16" s="5"/>
      <c r="U16" s="27">
        <f>U6+U7+U9+U10+U11+U12+U13+U20</f>
        <v>68391</v>
      </c>
    </row>
    <row r="17" spans="1:21">
      <c r="A17" s="5"/>
      <c r="B17" s="5"/>
      <c r="C17" s="5"/>
      <c r="D17" s="5"/>
      <c r="E17" s="5"/>
      <c r="F17" s="5"/>
      <c r="G17" s="5"/>
      <c r="H17" s="5"/>
      <c r="I17" s="20"/>
      <c r="J17" s="20"/>
      <c r="K17" s="20"/>
      <c r="L17" s="20"/>
      <c r="M17" s="30"/>
      <c r="N17" s="20"/>
      <c r="O17" s="20"/>
      <c r="P17" s="20">
        <f t="shared" si="4"/>
        <v>0</v>
      </c>
      <c r="Q17" s="20"/>
      <c r="R17" s="20"/>
      <c r="S17" s="5"/>
      <c r="T17" s="5"/>
      <c r="U17" s="27"/>
    </row>
    <row r="18" spans="1:21">
      <c r="A18" s="5" t="s">
        <v>33</v>
      </c>
      <c r="B18" s="5"/>
      <c r="C18" s="5"/>
      <c r="D18" s="5"/>
      <c r="E18" s="5"/>
      <c r="F18" s="5"/>
      <c r="G18" s="5"/>
      <c r="H18" s="5"/>
      <c r="I18" s="20"/>
      <c r="J18" s="20"/>
      <c r="K18" s="20"/>
      <c r="L18" s="20"/>
      <c r="M18" s="30"/>
      <c r="N18" s="20"/>
      <c r="O18" s="20">
        <v>10000</v>
      </c>
      <c r="P18" s="20">
        <v>0</v>
      </c>
      <c r="Q18" s="30">
        <v>10000</v>
      </c>
      <c r="R18" s="20"/>
      <c r="S18" s="5"/>
      <c r="T18" s="5"/>
      <c r="U18" s="27"/>
    </row>
    <row r="19" spans="1:21">
      <c r="A19" s="5"/>
      <c r="B19" s="5"/>
      <c r="C19" s="5"/>
      <c r="D19" s="5"/>
      <c r="E19" s="5"/>
      <c r="F19" s="5"/>
      <c r="G19" s="5"/>
      <c r="H19" s="5"/>
      <c r="I19" s="20"/>
      <c r="J19" s="20"/>
      <c r="K19" s="20"/>
      <c r="L19" s="20"/>
      <c r="M19" s="30"/>
      <c r="N19" s="20"/>
      <c r="O19" s="20"/>
      <c r="P19" s="20">
        <f t="shared" si="4"/>
        <v>0</v>
      </c>
      <c r="Q19" s="20"/>
      <c r="R19" s="20"/>
      <c r="S19" s="5"/>
      <c r="T19" s="5"/>
      <c r="U19" s="27"/>
    </row>
    <row r="20" spans="1:21">
      <c r="A20" s="59" t="s">
        <v>31</v>
      </c>
      <c r="B20" s="5">
        <f>B6+B7</f>
        <v>187</v>
      </c>
      <c r="C20" s="5"/>
      <c r="D20" s="5"/>
      <c r="E20" s="5"/>
      <c r="F20" s="5"/>
      <c r="G20" s="5"/>
      <c r="H20" s="5"/>
      <c r="I20" s="20">
        <f>-S6-S7</f>
        <v>65957</v>
      </c>
      <c r="J20" s="20">
        <v>2600</v>
      </c>
      <c r="K20" s="20"/>
      <c r="L20" s="20">
        <f>25000</f>
        <v>25000</v>
      </c>
      <c r="M20" s="30">
        <f>I20+L20</f>
        <v>90957</v>
      </c>
      <c r="N20" s="20"/>
      <c r="O20" s="20">
        <v>110600</v>
      </c>
      <c r="P20" s="60">
        <f t="shared" si="4"/>
        <v>-19643</v>
      </c>
      <c r="Q20" s="30">
        <f>O20+P20</f>
        <v>90957</v>
      </c>
      <c r="R20" s="50">
        <f>M20-Q20</f>
        <v>0</v>
      </c>
      <c r="S20" s="5"/>
      <c r="T20" s="5"/>
      <c r="U20" s="27">
        <v>5921</v>
      </c>
    </row>
    <row r="21" spans="1:21">
      <c r="I21" s="21">
        <f>SUM(I6:I20)</f>
        <v>1233705.4900000002</v>
      </c>
      <c r="M21" s="21">
        <f>SUM(M6:M20)</f>
        <v>1391214.38</v>
      </c>
      <c r="O21" s="21">
        <f>SUM(O6:O20)</f>
        <v>1263583.1600000001</v>
      </c>
      <c r="P21" s="21">
        <f>P20+P16+P13+P12+P11+P10+P9+P7+P6</f>
        <v>137631.22000000003</v>
      </c>
      <c r="Q21" s="21"/>
    </row>
    <row r="22" spans="1:21">
      <c r="M22" s="21"/>
    </row>
    <row r="23" spans="1:21">
      <c r="O23" s="5" t="s">
        <v>44</v>
      </c>
      <c r="P23" s="5"/>
      <c r="Q23" s="20">
        <f>SUM(Q6:Q21)</f>
        <v>1401214.38</v>
      </c>
    </row>
    <row r="24" spans="1:21">
      <c r="A24" t="s">
        <v>52</v>
      </c>
      <c r="G24" t="s">
        <v>52</v>
      </c>
      <c r="O24" s="5" t="s">
        <v>46</v>
      </c>
      <c r="P24" s="5"/>
      <c r="Q24" s="20">
        <f>J14+K14+L14+N14</f>
        <v>177358.89</v>
      </c>
      <c r="S24" s="21"/>
    </row>
    <row r="25" spans="1:21">
      <c r="O25" s="5" t="s">
        <v>47</v>
      </c>
      <c r="P25" s="5"/>
      <c r="Q25" s="20">
        <f>Q23-Q24</f>
        <v>1223855.4899999998</v>
      </c>
      <c r="S25" s="21"/>
    </row>
    <row r="26" spans="1:21">
      <c r="I26" s="21"/>
      <c r="Q26" s="21"/>
      <c r="S26" s="21"/>
    </row>
    <row r="27" spans="1:21">
      <c r="O27" s="5" t="s">
        <v>45</v>
      </c>
      <c r="P27" s="5"/>
      <c r="Q27" s="20">
        <v>2575198</v>
      </c>
    </row>
    <row r="28" spans="1:21">
      <c r="O28" s="5" t="s">
        <v>48</v>
      </c>
      <c r="P28" s="5"/>
      <c r="Q28" s="5">
        <f>ROUND(Q25/Q27*100,2)</f>
        <v>47.52</v>
      </c>
    </row>
    <row r="29" spans="1:21">
      <c r="P29" s="64">
        <v>0.4</v>
      </c>
      <c r="Q29" s="21">
        <v>1030118.05</v>
      </c>
    </row>
  </sheetData>
  <pageMargins left="0.31496062992125984" right="0.31496062992125984" top="0.55118110236220474" bottom="0.55118110236220474" header="0.31496062992125984" footer="0.31496062992125984"/>
  <pageSetup paperSize="9" scale="6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Hárok1</vt:lpstr>
      <vt:lpstr>upravený rozpočet podľa normatí</vt:lpstr>
      <vt:lpstr>Hárok3</vt:lpstr>
      <vt:lpstr>Hárok1!Oblast_tisku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 Gombalová</dc:creator>
  <cp:lastModifiedBy>Mgr. Nina Kuráková</cp:lastModifiedBy>
  <cp:lastPrinted>2022-06-13T06:06:59Z</cp:lastPrinted>
  <dcterms:created xsi:type="dcterms:W3CDTF">2019-10-21T09:18:04Z</dcterms:created>
  <dcterms:modified xsi:type="dcterms:W3CDTF">2022-06-15T08:28:21Z</dcterms:modified>
</cp:coreProperties>
</file>